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<sst xmlns="http://schemas.openxmlformats.org/spreadsheetml/2006/main" count="2860" uniqueCount="2079">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</sst>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3</v>
      </c>
      <c r="K20" s="1097"/>
      <c r="L20" s="1116">
        <f t="shared" si="4"/>
        <v>0</v>
      </c>
      <c r="M20" s="1097"/>
      <c r="N20" s="1117">
        <f t="shared" si="5"/>
        <v>3</v>
      </c>
      <c r="O20" s="1099"/>
      <c r="P20" s="1115">
        <f>+ROUND(+SUM(OTCHET!E82:E90),0)</f>
        <v>0</v>
      </c>
      <c r="Q20" s="1116">
        <f>+ROUND(+SUM(OTCHET!L82:L90),0)</f>
        <v>3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3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3</v>
      </c>
      <c r="O23" s="1099"/>
      <c r="P23" s="1127">
        <f>+ROUND(+SUM(P13,P14,P16,P17,P18,P19,P20,P21,P22),0)</f>
        <v>0</v>
      </c>
      <c r="Q23" s="1127">
        <f>+ROUND(+SUM(Q13,Q14,Q16,Q17,Q18,Q19,Q20,Q21,Q22),0)</f>
        <v>3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3</v>
      </c>
      <c r="K48" s="1097"/>
      <c r="L48" s="1202">
        <f>+ROUND(L23+L28+L35+L40+L46,0)</f>
        <v>0</v>
      </c>
      <c r="M48" s="1097"/>
      <c r="N48" s="1203">
        <f>+ROUND(N23+N28+N35+N40+N46,0)</f>
        <v>3</v>
      </c>
      <c r="O48" s="1204"/>
      <c r="P48" s="1201">
        <f>+ROUND(P23+P28+P35+P40+P46,0)</f>
        <v>0</v>
      </c>
      <c r="Q48" s="1202">
        <f>+ROUND(Q23+Q28+Q35+Q40+Q46,0)</f>
        <v>3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51</v>
      </c>
      <c r="K52" s="1097"/>
      <c r="L52" s="1122">
        <f>+IF($P$2=33,$Q52,0)</f>
        <v>0</v>
      </c>
      <c r="M52" s="1097"/>
      <c r="N52" s="1123">
        <f>+ROUND(+G52+J52+L52,0)</f>
        <v>51</v>
      </c>
      <c r="O52" s="1099"/>
      <c r="P52" s="1121">
        <f>+ROUND(+SUM(OTCHET!E218:E220),0)</f>
        <v>0</v>
      </c>
      <c r="Q52" s="1122">
        <f>+ROUND(+SUM(OTCHET!L218:L220),0)</f>
        <v>51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51</v>
      </c>
      <c r="K56" s="1097"/>
      <c r="L56" s="1210">
        <f>+ROUND(+SUM(L51:L55),0)</f>
        <v>0</v>
      </c>
      <c r="M56" s="1097"/>
      <c r="N56" s="1211">
        <f>+ROUND(+SUM(N51:N55),0)</f>
        <v>51</v>
      </c>
      <c r="O56" s="1099"/>
      <c r="P56" s="1209">
        <f>+ROUND(+SUM(P51:P55),0)</f>
        <v>0</v>
      </c>
      <c r="Q56" s="1210">
        <f>+ROUND(+SUM(Q51:Q55),0)</f>
        <v>51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51</v>
      </c>
      <c r="K77" s="1097"/>
      <c r="L77" s="1235">
        <f>+ROUND(L56+L63+L67+L71+L75,0)</f>
        <v>0</v>
      </c>
      <c r="M77" s="1097"/>
      <c r="N77" s="1236">
        <f>+ROUND(N56+N63+N67+N71+N75,0)</f>
        <v>51</v>
      </c>
      <c r="O77" s="1099"/>
      <c r="P77" s="1233">
        <f>+ROUND(P56+P63+P67+P71+P75,0)</f>
        <v>0</v>
      </c>
      <c r="Q77" s="1234">
        <f>+ROUND(Q56+Q63+Q67+Q71+Q75,0)</f>
        <v>51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12007</v>
      </c>
      <c r="K79" s="1097"/>
      <c r="L79" s="1110">
        <f>+IF($P$2=33,$Q79,0)</f>
        <v>0</v>
      </c>
      <c r="M79" s="1097"/>
      <c r="N79" s="1111">
        <f>+ROUND(+G79+J79+L79,0)</f>
        <v>12007</v>
      </c>
      <c r="O79" s="1099"/>
      <c r="P79" s="1109">
        <f>+ROUND(OTCHET!E421,0)</f>
        <v>0</v>
      </c>
      <c r="Q79" s="1110">
        <f>+ROUND(OTCHET!L421,0)</f>
        <v>12007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-51769</v>
      </c>
      <c r="K80" s="1097"/>
      <c r="L80" s="1122">
        <f>+IF($P$2=33,$Q80,0)</f>
        <v>0</v>
      </c>
      <c r="M80" s="1097"/>
      <c r="N80" s="1123">
        <f>+ROUND(+G80+J80+L80,0)</f>
        <v>-51769</v>
      </c>
      <c r="O80" s="1099"/>
      <c r="P80" s="1121">
        <f>+ROUND(OTCHET!E431,0)</f>
        <v>0</v>
      </c>
      <c r="Q80" s="1122">
        <f>+ROUND(OTCHET!L431,0)</f>
        <v>-51769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-39762</v>
      </c>
      <c r="K81" s="1097"/>
      <c r="L81" s="1244">
        <f>+ROUND(L79+L80,0)</f>
        <v>0</v>
      </c>
      <c r="M81" s="1097"/>
      <c r="N81" s="1245">
        <f>+ROUND(N79+N80,0)</f>
        <v>-39762</v>
      </c>
      <c r="O81" s="1099"/>
      <c r="P81" s="1243">
        <f>+ROUND(P79+P80,0)</f>
        <v>0</v>
      </c>
      <c r="Q81" s="1244">
        <f>+ROUND(Q79+Q80,0)</f>
        <v>-39762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-39810</v>
      </c>
      <c r="K83" s="1097"/>
      <c r="L83" s="1257">
        <f>+ROUND(L48,0)-ROUND(L77,0)+ROUND(L81,0)</f>
        <v>0</v>
      </c>
      <c r="M83" s="1097"/>
      <c r="N83" s="1258">
        <f>+ROUND(N48,0)-ROUND(N77,0)+ROUND(N81,0)</f>
        <v>-39810</v>
      </c>
      <c r="O83" s="1259"/>
      <c r="P83" s="1256">
        <f>+ROUND(P48,0)-ROUND(P77,0)+ROUND(P81,0)</f>
        <v>0</v>
      </c>
      <c r="Q83" s="1257">
        <f>+ROUND(Q48,0)-ROUND(Q77,0)+ROUND(Q81,0)</f>
        <v>-39810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39810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39810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39810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39810</v>
      </c>
      <c r="K129" s="1097"/>
      <c r="L129" s="1110">
        <f>+IF($P$2=33,$Q129,0)</f>
        <v>0</v>
      </c>
      <c r="M129" s="1097"/>
      <c r="N129" s="1111">
        <f>+ROUND(+G129+J129+L129,0)</f>
        <v>39810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39810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-39810</v>
      </c>
      <c r="K132" s="1097"/>
      <c r="L132" s="1297">
        <f>+ROUND(+L131-L129-L130,0)</f>
        <v>0</v>
      </c>
      <c r="M132" s="1097"/>
      <c r="N132" s="1298">
        <f>+ROUND(+N131-N129-N130,0)</f>
        <v>-39810</v>
      </c>
      <c r="O132" s="1099"/>
      <c r="P132" s="1296">
        <f>+ROUND(+P131-P129-P130,0)</f>
        <v>0</v>
      </c>
      <c r="Q132" s="1297">
        <f>+ROUND(+Q131-Q129-Q130,0)</f>
        <v>-39810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3</v>
      </c>
      <c r="G22" s="766">
        <f>+G23+G25+G36+G37</f>
        <v>0</v>
      </c>
      <c r="H22" s="767">
        <f>+H23+H25+H36+H37</f>
        <v>3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3</v>
      </c>
      <c r="G25" s="785">
        <f>+G26+G30+G31+G32+G33</f>
        <v>0</v>
      </c>
      <c r="H25" s="786">
        <f>+H26+H30+H31+H32+H33</f>
        <v>3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3</v>
      </c>
      <c r="G26" s="790">
        <f>OTCHET!I75</f>
        <v>0</v>
      </c>
      <c r="H26" s="791">
        <f>OTCHET!J75</f>
        <v>3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51</v>
      </c>
      <c r="G38" s="850">
        <f>G39+G43+G44+G46+SUM(G48:G52)+G55</f>
        <v>0</v>
      </c>
      <c r="H38" s="851">
        <f>H39+H43+H44+H46+SUM(H48:H52)+H55</f>
        <v>51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51</v>
      </c>
      <c r="G43" s="818">
        <f>+OTCHET!I206+OTCHET!I224+OTCHET!I273</f>
        <v>0</v>
      </c>
      <c r="H43" s="819">
        <f>+OTCHET!J206+OTCHET!J224+OTCHET!J273</f>
        <v>51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-39762</v>
      </c>
      <c r="G56" s="895">
        <f>+G57+G58+G62</f>
        <v>0</v>
      </c>
      <c r="H56" s="896">
        <f>+H57+H58+H62</f>
        <v>-39762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-39762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-39762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-51769</v>
      </c>
      <c r="G59" s="908">
        <f>+OTCHET!I424+OTCHET!I425+OTCHET!I426+OTCHET!I427+OTCHET!I428</f>
        <v>0</v>
      </c>
      <c r="H59" s="909">
        <f>+OTCHET!J424+OTCHET!J425+OTCHET!J426+OTCHET!J427+OTCHET!J428</f>
        <v>-51769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-39810</v>
      </c>
      <c r="G64" s="930">
        <f>+G22-G38+G56-G63</f>
        <v>0</v>
      </c>
      <c r="H64" s="931">
        <f>+H22-H38+H56-H63</f>
        <v>-39810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39810</v>
      </c>
      <c r="G66" s="940">
        <f>SUM(+G68+G76+G77+G84+G85+G86+G89+G90+G91+G92+G93+G94+G95)</f>
        <v>0</v>
      </c>
      <c r="H66" s="941">
        <f>SUM(+H68+H76+H77+H84+H85+H86+H89+H90+H91+H92+H93+H94+H95)</f>
        <v>39810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39810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39810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581">
      <selection activeCell="F607" sqref="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РА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1921</v>
      </c>
      <c r="C9" s="1816"/>
      <c r="D9" s="1817"/>
      <c r="E9" s="115">
        <v>43101</v>
      </c>
      <c r="F9" s="116">
        <v>43465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Твърдица</v>
      </c>
      <c r="C12" s="1819"/>
      <c r="D12" s="1820"/>
      <c r="E12" s="118" t="s">
        <v>975</v>
      </c>
      <c r="F12" s="1588" t="s">
        <v>1562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3</v>
      </c>
      <c r="K75" s="170">
        <f>SUM(K76:K90)</f>
        <v>0</v>
      </c>
      <c r="L75" s="1378">
        <f t="shared" si="13"/>
        <v>3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3</v>
      </c>
      <c r="K82" s="160">
        <v>0</v>
      </c>
      <c r="L82" s="296">
        <f t="shared" si="14"/>
        <v>3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3</v>
      </c>
      <c r="K170" s="214">
        <f t="shared" si="39"/>
        <v>0</v>
      </c>
      <c r="L170" s="211">
        <f t="shared" si="39"/>
        <v>3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РА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Твърдица</v>
      </c>
      <c r="C177" s="1785"/>
      <c r="D177" s="1786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Твърдица</v>
      </c>
      <c r="C180" s="1819"/>
      <c r="D180" s="1820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51</v>
      </c>
      <c r="K206" s="277">
        <f t="shared" si="49"/>
        <v>0</v>
      </c>
      <c r="L206" s="311">
        <f t="shared" si="49"/>
        <v>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51</v>
      </c>
      <c r="K218" s="324">
        <f t="shared" si="51"/>
        <v>0</v>
      </c>
      <c r="L218" s="321">
        <f t="shared" si="51"/>
        <v>51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51</v>
      </c>
      <c r="K303" s="399">
        <f t="shared" si="79"/>
        <v>0</v>
      </c>
      <c r="L303" s="396">
        <f t="shared" si="79"/>
        <v>51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РА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Твърдица</v>
      </c>
      <c r="C352" s="1785"/>
      <c r="D352" s="1786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Твърдица</v>
      </c>
      <c r="C355" s="1819"/>
      <c r="D355" s="1820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12007</v>
      </c>
      <c r="K398" s="446">
        <f>SUM(K399:K400)</f>
        <v>0</v>
      </c>
      <c r="L398" s="1380">
        <f t="shared" si="91"/>
        <v>12007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>
        <v>12007</v>
      </c>
      <c r="K399" s="154">
        <v>0</v>
      </c>
      <c r="L399" s="1381">
        <f>I399+J399+K399</f>
        <v>12007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12007</v>
      </c>
      <c r="K421" s="517">
        <f>SUM(K363,K377,K385,K390,K393,K398,K401,K404,K407,K408,K411,K414)</f>
        <v>0</v>
      </c>
      <c r="L421" s="514">
        <f t="shared" si="98"/>
        <v>12007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>
        <v>-51769</v>
      </c>
      <c r="K426" s="1477">
        <v>0</v>
      </c>
      <c r="L426" s="1380">
        <f>I426+J426+K426</f>
        <v>-51769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-51769</v>
      </c>
      <c r="K431" s="517">
        <f t="shared" si="100"/>
        <v>0</v>
      </c>
      <c r="L431" s="514">
        <f t="shared" si="100"/>
        <v>-51769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РА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Твърдица</v>
      </c>
      <c r="C437" s="1785"/>
      <c r="D437" s="1786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Твърдица</v>
      </c>
      <c r="C440" s="1819"/>
      <c r="D440" s="1820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-39810</v>
      </c>
      <c r="K447" s="550">
        <f t="shared" si="103"/>
        <v>0</v>
      </c>
      <c r="L447" s="551">
        <f t="shared" si="103"/>
        <v>-39810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39810</v>
      </c>
      <c r="K448" s="557">
        <f t="shared" si="104"/>
        <v>0</v>
      </c>
      <c r="L448" s="558">
        <f>+L599</f>
        <v>39810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РА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Твърдица</v>
      </c>
      <c r="C453" s="1785"/>
      <c r="D453" s="1786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Твърдица</v>
      </c>
      <c r="C456" s="1819"/>
      <c r="D456" s="1820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39810</v>
      </c>
      <c r="K568" s="583">
        <f t="shared" si="133"/>
        <v>0</v>
      </c>
      <c r="L568" s="580">
        <f t="shared" si="133"/>
        <v>39810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39810</v>
      </c>
      <c r="K569" s="586">
        <v>0</v>
      </c>
      <c r="L569" s="1381">
        <f t="shared" si="121"/>
        <v>39810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0</v>
      </c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39810</v>
      </c>
      <c r="K599" s="668">
        <f t="shared" si="138"/>
        <v>0</v>
      </c>
      <c r="L599" s="664">
        <f t="shared" si="138"/>
        <v>39810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 t="s">
        <v>2076</v>
      </c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6" t="s">
        <v>2077</v>
      </c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/>
      <c r="C607" s="1856"/>
      <c r="D607" s="677" t="s">
        <v>892</v>
      </c>
      <c r="E607" s="678" t="s">
        <v>2078</v>
      </c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82" t="str">
        <f>$B$7</f>
        <v>ОТЧЕТНИ ДАННИ ПО ЕБК ЗА СМЕТКИТЕ ЗА СРЕДСТВАТА ОТ ЕВРОПЕЙСКИЯ СЪЮЗ - РА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43101</v>
      </c>
      <c r="F623" s="227">
        <f>$F$9</f>
        <v>43465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87" t="str">
        <f>$B$12</f>
        <v>Твърдица</v>
      </c>
      <c r="C626" s="1788"/>
      <c r="D626" s="1789"/>
      <c r="E626" s="411" t="s">
        <v>900</v>
      </c>
      <c r="F626" s="1362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8827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8827</v>
      </c>
      <c r="D635" s="1454" t="s">
        <v>113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>
        <v>0</v>
      </c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51</v>
      </c>
      <c r="K655" s="277">
        <f t="shared" si="145"/>
        <v>0</v>
      </c>
      <c r="L655" s="311">
        <f t="shared" si="145"/>
        <v>51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>
        <v>51</v>
      </c>
      <c r="K667" s="1430"/>
      <c r="L667" s="321">
        <f t="shared" si="147"/>
        <v>51</v>
      </c>
      <c r="M667" s="12">
        <f t="shared" si="140"/>
        <v>1</v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51</v>
      </c>
      <c r="K753" s="399">
        <f t="shared" si="175"/>
        <v>0</v>
      </c>
      <c r="L753" s="396">
        <f t="shared" si="175"/>
        <v>51</v>
      </c>
      <c r="M753" s="12">
        <f t="shared" si="171"/>
        <v>1</v>
      </c>
      <c r="N753" s="73" t="str">
        <f>LEFT(C634,1)</f>
        <v>8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2018-03-23T11:26:22Z</cp:lastPrinted>
  <dcterms:created xsi:type="dcterms:W3CDTF">1997-12-10T11:54:07Z</dcterms:created>
  <dcterms:modified xsi:type="dcterms:W3CDTF">2019-01-09T12:52:04Z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